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f4f792da7bed7431/Documents/GitHub/rateslab-site/data/"/>
    </mc:Choice>
  </mc:AlternateContent>
  <xr:revisionPtr revIDLastSave="3" documentId="11_3F8AA239A49195D025DD997B839E130A61C39753" xr6:coauthVersionLast="47" xr6:coauthVersionMax="47" xr10:uidLastSave="{8F99351E-E246-4B10-A8C7-59F4759A79A5}"/>
  <bookViews>
    <workbookView xWindow="25590" yWindow="2655" windowWidth="24630" windowHeight="15345" xr2:uid="{00000000-000D-0000-FFFF-FFFF00000000}"/>
  </bookViews>
  <sheets>
    <sheet name="Config" sheetId="1" r:id="rId1"/>
    <sheet name="Cash_To_Capital" sheetId="2" r:id="rId2"/>
    <sheet name="Overlay_Scenarios" sheetId="3" r:id="rId3"/>
    <sheet name="Overlay_Risk_Sizing" sheetId="4" r:id="rId4"/>
    <sheet name="README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4" l="1"/>
  <c r="C22" i="4"/>
  <c r="B22" i="4"/>
  <c r="E21" i="4"/>
  <c r="C21" i="4"/>
  <c r="B21" i="4"/>
  <c r="E20" i="4"/>
  <c r="F20" i="4" s="1"/>
  <c r="G20" i="4" s="1"/>
  <c r="C20" i="4"/>
  <c r="B20" i="4"/>
  <c r="E19" i="4"/>
  <c r="C19" i="4"/>
  <c r="B19" i="4"/>
  <c r="E18" i="4"/>
  <c r="C18" i="4"/>
  <c r="B18" i="4"/>
  <c r="E17" i="4"/>
  <c r="C17" i="4"/>
  <c r="F17" i="4" s="1"/>
  <c r="G17" i="4" s="1"/>
  <c r="B17" i="4"/>
  <c r="E16" i="4"/>
  <c r="C16" i="4"/>
  <c r="F16" i="4" s="1"/>
  <c r="G16" i="4" s="1"/>
  <c r="B16" i="4"/>
  <c r="E15" i="4"/>
  <c r="C15" i="4"/>
  <c r="B15" i="4"/>
  <c r="E14" i="4"/>
  <c r="F14" i="4" s="1"/>
  <c r="G14" i="4" s="1"/>
  <c r="C14" i="4"/>
  <c r="B14" i="4"/>
  <c r="C13" i="4"/>
  <c r="B13" i="4"/>
  <c r="C12" i="4"/>
  <c r="B12" i="4"/>
  <c r="C11" i="4"/>
  <c r="B11" i="4"/>
  <c r="E10" i="4"/>
  <c r="F10" i="4" s="1"/>
  <c r="C10" i="4"/>
  <c r="B10" i="4"/>
  <c r="C9" i="4"/>
  <c r="B9" i="4"/>
  <c r="C8" i="4"/>
  <c r="B8" i="4"/>
  <c r="C7" i="4"/>
  <c r="B7" i="4"/>
  <c r="C6" i="4"/>
  <c r="B6" i="4"/>
  <c r="C5" i="4"/>
  <c r="B5" i="4"/>
  <c r="C4" i="4"/>
  <c r="B4" i="4"/>
  <c r="L13" i="3"/>
  <c r="K13" i="3"/>
  <c r="J13" i="3"/>
  <c r="I13" i="3"/>
  <c r="E13" i="4" s="1"/>
  <c r="L12" i="3"/>
  <c r="K12" i="3" s="1"/>
  <c r="L11" i="3"/>
  <c r="K11" i="3" s="1"/>
  <c r="L10" i="3"/>
  <c r="K10" i="3"/>
  <c r="J10" i="3"/>
  <c r="G10" i="4" s="1"/>
  <c r="I10" i="3"/>
  <c r="L9" i="3"/>
  <c r="K9" i="3" s="1"/>
  <c r="L8" i="3"/>
  <c r="K8" i="3" s="1"/>
  <c r="L7" i="3"/>
  <c r="K7" i="3"/>
  <c r="J7" i="3"/>
  <c r="I7" i="3"/>
  <c r="E7" i="4" s="1"/>
  <c r="F7" i="4" s="1"/>
  <c r="L6" i="3"/>
  <c r="K6" i="3" s="1"/>
  <c r="L5" i="3"/>
  <c r="K5" i="3" s="1"/>
  <c r="L4" i="3"/>
  <c r="K4" i="3"/>
  <c r="J4" i="3"/>
  <c r="G4" i="4" s="1"/>
  <c r="I4" i="3"/>
  <c r="E4" i="4" s="1"/>
  <c r="F4" i="4" s="1"/>
  <c r="K13" i="2"/>
  <c r="J13" i="2"/>
  <c r="K12" i="2"/>
  <c r="J12" i="2"/>
  <c r="K11" i="2"/>
  <c r="J11" i="2"/>
  <c r="K10" i="2"/>
  <c r="J10" i="2"/>
  <c r="K9" i="2"/>
  <c r="J9" i="2"/>
  <c r="K8" i="2"/>
  <c r="J8" i="2"/>
  <c r="K7" i="2"/>
  <c r="J7" i="2"/>
  <c r="K6" i="2"/>
  <c r="J6" i="2"/>
  <c r="K5" i="2"/>
  <c r="J5" i="2"/>
  <c r="K4" i="2"/>
  <c r="J4" i="2"/>
  <c r="F19" i="4" l="1"/>
  <c r="G19" i="4" s="1"/>
  <c r="F13" i="4"/>
  <c r="F21" i="4"/>
  <c r="G21" i="4" s="1"/>
  <c r="F15" i="4"/>
  <c r="G15" i="4" s="1"/>
  <c r="F18" i="4"/>
  <c r="G18" i="4" s="1"/>
  <c r="F22" i="4"/>
  <c r="G22" i="4" s="1"/>
  <c r="G7" i="4"/>
  <c r="G13" i="4"/>
  <c r="I5" i="3"/>
  <c r="E5" i="4" s="1"/>
  <c r="F5" i="4" s="1"/>
  <c r="I8" i="3"/>
  <c r="E8" i="4" s="1"/>
  <c r="F8" i="4" s="1"/>
  <c r="J5" i="3"/>
  <c r="J8" i="3"/>
  <c r="G8" i="4" s="1"/>
  <c r="J11" i="3"/>
  <c r="G11" i="4" s="1"/>
  <c r="I11" i="3"/>
  <c r="E11" i="4" s="1"/>
  <c r="F11" i="4" s="1"/>
  <c r="I6" i="3"/>
  <c r="E6" i="4" s="1"/>
  <c r="F6" i="4" s="1"/>
  <c r="I9" i="3"/>
  <c r="E9" i="4" s="1"/>
  <c r="F9" i="4" s="1"/>
  <c r="I12" i="3"/>
  <c r="E12" i="4" s="1"/>
  <c r="F12" i="4" s="1"/>
  <c r="J6" i="3"/>
  <c r="G6" i="4" s="1"/>
  <c r="J9" i="3"/>
  <c r="J12" i="3"/>
  <c r="G5" i="4" l="1"/>
  <c r="G12" i="4"/>
  <c r="G9" i="4"/>
</calcChain>
</file>

<file path=xl/sharedStrings.xml><?xml version="1.0" encoding="utf-8"?>
<sst xmlns="http://schemas.openxmlformats.org/spreadsheetml/2006/main" count="192" uniqueCount="134">
  <si>
    <t>RatesLab Unified Model — Configuration</t>
  </si>
  <si>
    <t>Parameter</t>
  </si>
  <si>
    <t>Value</t>
  </si>
  <si>
    <t>Notes</t>
  </si>
  <si>
    <t>Default_Capital_USD</t>
  </si>
  <si>
    <t>Shared default capital for both simulators</t>
  </si>
  <si>
    <t>Overlay_Reference_Capital_USD</t>
  </si>
  <si>
    <t>Capital base of the supplied scenario P&amp;L table</t>
  </si>
  <si>
    <t>Overlay_Reference_Max_DD_pct</t>
  </si>
  <si>
    <t>Reference sizing point for the overlay</t>
  </si>
  <si>
    <t>Min_Max_DD_pct</t>
  </si>
  <si>
    <t>Minimum slider value</t>
  </si>
  <si>
    <t>Max_Max_DD_pct</t>
  </si>
  <si>
    <t>Maximum slider value</t>
  </si>
  <si>
    <t>Max_DD_Step_pct</t>
  </si>
  <si>
    <t>Slider increment</t>
  </si>
  <si>
    <t>Default_Rate_Shock_bps</t>
  </si>
  <si>
    <t>Cash-to-Capital MTM default</t>
  </si>
  <si>
    <t>Cash to Capital — Product Assumptions</t>
  </si>
  <si>
    <t>Product</t>
  </si>
  <si>
    <t>Provider / Market</t>
  </si>
  <si>
    <t>Rate / Return %</t>
  </si>
  <si>
    <t>Rate Type</t>
  </si>
  <si>
    <t>Duration (yrs)</t>
  </si>
  <si>
    <t>Liquidity</t>
  </si>
  <si>
    <t>Is Assumed?</t>
  </si>
  <si>
    <t>Special Rule</t>
  </si>
  <si>
    <t>Source / Note</t>
  </si>
  <si>
    <t>Annual Income @ Shared Capital ($)</t>
  </si>
  <si>
    <t>DV01 @ Shared Capital ($/bp)</t>
  </si>
  <si>
    <t>Chase Total Checking</t>
  </si>
  <si>
    <t>Chase</t>
  </si>
  <si>
    <t>APY / interest</t>
  </si>
  <si>
    <t>Immediate</t>
  </si>
  <si>
    <t>No</t>
  </si>
  <si>
    <t>linear</t>
  </si>
  <si>
    <t>Representative checking-account assumption used in prototype</t>
  </si>
  <si>
    <t>Chase Savings</t>
  </si>
  <si>
    <t>APY</t>
  </si>
  <si>
    <t>Very high</t>
  </si>
  <si>
    <t>Representative savings-account assumption used in prototype</t>
  </si>
  <si>
    <t>IBKR Pro Cash</t>
  </si>
  <si>
    <t>Interactive Brokers</t>
  </si>
  <si>
    <t>Headline eligible cash rate</t>
  </si>
  <si>
    <t>ibkr_tiered</t>
  </si>
  <si>
    <t>Prototype rule: first $10,000 earns 0%; eligible balance above $10,000 earns 3.38%</t>
  </si>
  <si>
    <t>Fidelity SPAXX</t>
  </si>
  <si>
    <t>Fidelity</t>
  </si>
  <si>
    <t>7-day annualized yield</t>
  </si>
  <si>
    <t>Prototype annualized 7-day yield assumption</t>
  </si>
  <si>
    <t>SOFR Overnight</t>
  </si>
  <si>
    <t>NY Fed benchmark</t>
  </si>
  <si>
    <t>Overnight secured reference rate</t>
  </si>
  <si>
    <t>Overnight</t>
  </si>
  <si>
    <t>Benchmark / educational comparison, not a retail deposit</t>
  </si>
  <si>
    <t>1M U.S. Treasury Bill</t>
  </si>
  <si>
    <t>U.S. Treasury</t>
  </si>
  <si>
    <t>Market yield</t>
  </si>
  <si>
    <t>High</t>
  </si>
  <si>
    <t>Prototype Treasury yield assumption</t>
  </si>
  <si>
    <t>3M U.S. Treasury Bill</t>
  </si>
  <si>
    <t>10Y U.S. Treasury Note</t>
  </si>
  <si>
    <t>Yield to maturity</t>
  </si>
  <si>
    <t>Duration is an illustrative modified-duration assumption</t>
  </si>
  <si>
    <t>30Y U.S. Treasury Bond</t>
  </si>
  <si>
    <t>T-Bills + Rates Overlay</t>
  </si>
  <si>
    <t>RatesLab illustrative strategy</t>
  </si>
  <si>
    <t>Illustrative total return</t>
  </si>
  <si>
    <t>Margin dependent</t>
  </si>
  <si>
    <t>Yes</t>
  </si>
  <si>
    <t>Assumed 8–9% total-return midpoint; not a fixed yield</t>
  </si>
  <si>
    <t>Excess Cash Overlay — Scenario Assumptions and Shared-Capital Scaling</t>
  </si>
  <si>
    <t>Scenario</t>
  </si>
  <si>
    <t>Fed Midpoint / SOFR at Expiry %</t>
  </si>
  <si>
    <t>Rate Change Implied (bps)</t>
  </si>
  <si>
    <t>Reference Option P&amp;L ($50m)</t>
  </si>
  <si>
    <t>Reference T-Bill Income ($50m)</t>
  </si>
  <si>
    <t>Reference Total Strategy P&amp;L ($50m)</t>
  </si>
  <si>
    <t>Return on Capital %</t>
  </si>
  <si>
    <t>Annualized Return %</t>
  </si>
  <si>
    <t>Scaled Option P&amp;L @ Shared Capital</t>
  </si>
  <si>
    <t>Scaled T-Bill Income @ Shared Capital</t>
  </si>
  <si>
    <t>Scaled Total P&amp;L @ Shared Capital</t>
  </si>
  <si>
    <t>Capital Scale</t>
  </si>
  <si>
    <t>Source</t>
  </si>
  <si>
    <t>MS: 25 bps hike in Dec'26, Mar'27</t>
  </si>
  <si>
    <t>User-supplied scenario table</t>
  </si>
  <si>
    <t>JPM, Barclays and DB: 25bp hike Dec'26</t>
  </si>
  <si>
    <t>GS: 25 bps hike in Oct'26</t>
  </si>
  <si>
    <t>75 bps hikes in 2026: BoA</t>
  </si>
  <si>
    <t>Dot Plot Scenario</t>
  </si>
  <si>
    <t>Citi: Hold'26, Cut Jun'27</t>
  </si>
  <si>
    <t>Back-Loaded Cuts</t>
  </si>
  <si>
    <t>Extreme: Front-Loaded Hikes, 25 bps Oct,Dec'26, Jan'27</t>
  </si>
  <si>
    <t>Extreme: Whipsaw +/-25</t>
  </si>
  <si>
    <t>No change until '28</t>
  </si>
  <si>
    <t>Overlay Risk Sizing — Shared Capital</t>
  </si>
  <si>
    <t>Max DD %</t>
  </si>
  <si>
    <t>DD Budget ($)</t>
  </si>
  <si>
    <t>Selected Scenario</t>
  </si>
  <si>
    <t>Base Option P&amp;L @ Shared Capital</t>
  </si>
  <si>
    <t>Sized Option P&amp;L</t>
  </si>
  <si>
    <t>T-Bill Income + Sized Overlay P&amp;L</t>
  </si>
  <si>
    <t>RatesLab Unified Model — How the Website Uses This Workbook</t>
  </si>
  <si>
    <t>1</t>
  </si>
  <si>
    <t>Shared capital</t>
  </si>
  <si>
    <t>Edit Config!B4. Default is $100,000. Both simulators scale from the same amount.</t>
  </si>
  <si>
    <t>2</t>
  </si>
  <si>
    <t>Cash-to-Capital</t>
  </si>
  <si>
    <t>Edit rates, durations, liquidity and notes on Cash_To_Capital.</t>
  </si>
  <si>
    <t>3</t>
  </si>
  <si>
    <t>Overlay scenarios</t>
  </si>
  <si>
    <t>Edit the scenario table on Overlay_Scenarios. Reference P&amp;Ls remain on the original $50m base.</t>
  </si>
  <si>
    <t>4</t>
  </si>
  <si>
    <t>Scaling</t>
  </si>
  <si>
    <t>The workbook calculates scaled overlay P&amp;Ls using Shared Capital / $50m.</t>
  </si>
  <si>
    <t>5</t>
  </si>
  <si>
    <t>Drawdown</t>
  </si>
  <si>
    <t>The website slider uses 3% as the reference overlay sizing point and scales the overlay only.</t>
  </si>
  <si>
    <t>6</t>
  </si>
  <si>
    <t>Website update</t>
  </si>
  <si>
    <t>Replace RatesLab_Model.xlsx in the Cloudflare Pages deployment. The website reads this workbook on load.</t>
  </si>
  <si>
    <t>7</t>
  </si>
  <si>
    <t>Local preview</t>
  </si>
  <si>
    <t>The website also allows you to upload an edited RatesLab_Model.xlsx in-browser to preview changes before redeploying.</t>
  </si>
  <si>
    <t>8</t>
  </si>
  <si>
    <t>Important</t>
  </si>
  <si>
    <t>The drawdown slider is a risk-budget sizing proxy, not a realized or predicted drawdown.</t>
  </si>
  <si>
    <t>9</t>
  </si>
  <si>
    <t>The 8–9% overlay return is illustrative/assumed; it is not a fixed yield or guarantee.</t>
  </si>
  <si>
    <t>10</t>
  </si>
  <si>
    <t>Architecture</t>
  </si>
  <si>
    <t>rateslab.io can link Cash to Capital and Excess Cash Overlay under one shared portal.</t>
  </si>
  <si>
    <t>Sizing Multiplier vs 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</si>
</sst>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$#,##0;[Red]\(\$#,##0\);\-"/>
    <numFmt numFmtId="165" formatCode="\$#,##0.00;[Red]\(\$#,##0.00\);\-"/>
    <numFmt numFmtId="166" formatCode="0.000"/>
    <numFmt numFmtId="167" formatCode="0.000000\x"/>
    <numFmt numFmtId="168" formatCode="0.00\x"/>
  </numFmts>
  <fonts count="7">
    <font>
      <sz val="11"/>
      <name val="Carlito"/>
    </font>
    <font>
      <b/>
      <sz val="14"/>
      <color rgb="FFFFFFFF"/>
      <name val="Carlito"/>
    </font>
    <font>
      <b/>
      <sz val="11"/>
      <color rgb="FF0B1B3A"/>
      <name val="Carlito"/>
    </font>
    <font>
      <sz val="11"/>
      <color rgb="FF0000FF"/>
      <name val="Carlito"/>
    </font>
    <font>
      <sz val="11"/>
      <color rgb="FF000000"/>
      <name val="Carlito"/>
    </font>
    <font>
      <b/>
      <sz val="11"/>
      <color rgb="FF1769E8"/>
      <name val="Carlito"/>
    </font>
    <font>
      <b/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0B1B3A"/>
      </patternFill>
    </fill>
    <fill>
      <patternFill patternType="solid">
        <fgColor rgb="FFEAF2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2" fontId="3" fillId="0" borderId="0" xfId="0" applyNumberFormat="1" applyFont="1"/>
    <xf numFmtId="0" fontId="0" fillId="0" borderId="0" xfId="0" applyAlignment="1">
      <alignment wrapText="1"/>
    </xf>
    <xf numFmtId="164" fontId="3" fillId="0" borderId="0" xfId="0" applyNumberFormat="1" applyFont="1" applyAlignment="1">
      <alignment wrapText="1"/>
    </xf>
    <xf numFmtId="2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wrapText="1"/>
    </xf>
    <xf numFmtId="0" fontId="4" fillId="0" borderId="0" xfId="0" applyFont="1"/>
    <xf numFmtId="165" fontId="4" fillId="0" borderId="0" xfId="0" applyNumberFormat="1" applyFont="1"/>
    <xf numFmtId="164" fontId="4" fillId="0" borderId="0" xfId="0" applyNumberFormat="1" applyFont="1" applyAlignment="1">
      <alignment wrapText="1"/>
    </xf>
    <xf numFmtId="165" fontId="4" fillId="0" borderId="0" xfId="0" applyNumberFormat="1" applyFont="1" applyAlignment="1">
      <alignment wrapText="1"/>
    </xf>
    <xf numFmtId="166" fontId="3" fillId="0" borderId="0" xfId="0" applyNumberFormat="1" applyFont="1" applyAlignment="1">
      <alignment wrapText="1"/>
    </xf>
    <xf numFmtId="167" fontId="4" fillId="0" borderId="0" xfId="0" applyNumberFormat="1" applyFont="1" applyAlignment="1">
      <alignment wrapText="1"/>
    </xf>
    <xf numFmtId="168" fontId="4" fillId="0" borderId="0" xfId="0" applyNumberFormat="1" applyFo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B7" sqref="B7"/>
    </sheetView>
  </sheetViews>
  <sheetFormatPr defaultRowHeight="14.25"/>
  <cols>
    <col min="1" max="1" width="40" customWidth="1"/>
    <col min="2" max="2" width="10.875" bestFit="1" customWidth="1"/>
    <col min="3" max="3" width="35.375" customWidth="1"/>
  </cols>
  <sheetData>
    <row r="1" spans="1:4" ht="18">
      <c r="A1" s="16" t="s">
        <v>0</v>
      </c>
      <c r="B1" s="16"/>
      <c r="C1" s="16"/>
      <c r="D1" s="17"/>
    </row>
    <row r="2" spans="1:4">
      <c r="A2" s="3"/>
      <c r="B2" s="3"/>
      <c r="C2" s="3"/>
    </row>
    <row r="3" spans="1:4" ht="15">
      <c r="A3" s="1" t="s">
        <v>1</v>
      </c>
      <c r="B3" s="1" t="s">
        <v>2</v>
      </c>
      <c r="C3" s="1" t="s">
        <v>3</v>
      </c>
    </row>
    <row r="4" spans="1:4">
      <c r="A4" s="3" t="s">
        <v>4</v>
      </c>
      <c r="B4" s="4">
        <v>100000</v>
      </c>
      <c r="C4" s="3" t="s">
        <v>5</v>
      </c>
    </row>
    <row r="5" spans="1:4" ht="28.5">
      <c r="A5" s="3" t="s">
        <v>6</v>
      </c>
      <c r="B5" s="4">
        <v>50000000</v>
      </c>
      <c r="C5" s="3" t="s">
        <v>7</v>
      </c>
    </row>
    <row r="6" spans="1:4">
      <c r="A6" s="3" t="s">
        <v>8</v>
      </c>
      <c r="B6" s="5">
        <v>4</v>
      </c>
      <c r="C6" s="3" t="s">
        <v>9</v>
      </c>
    </row>
    <row r="7" spans="1:4">
      <c r="A7" s="3" t="s">
        <v>10</v>
      </c>
      <c r="B7" s="5">
        <v>0.5</v>
      </c>
      <c r="C7" s="3" t="s">
        <v>11</v>
      </c>
    </row>
    <row r="8" spans="1:4">
      <c r="A8" s="3" t="s">
        <v>12</v>
      </c>
      <c r="B8" s="5">
        <v>5</v>
      </c>
      <c r="C8" s="3" t="s">
        <v>13</v>
      </c>
    </row>
    <row r="9" spans="1:4">
      <c r="A9" s="3" t="s">
        <v>14</v>
      </c>
      <c r="B9" s="5">
        <v>0.25</v>
      </c>
      <c r="C9" s="3" t="s">
        <v>15</v>
      </c>
    </row>
    <row r="10" spans="1:4">
      <c r="A10" s="3" t="s">
        <v>16</v>
      </c>
      <c r="B10" s="6">
        <v>100</v>
      </c>
      <c r="C10" s="3" t="s">
        <v>17</v>
      </c>
    </row>
    <row r="11" spans="1:4">
      <c r="A11" s="3"/>
      <c r="B11" s="3"/>
      <c r="C11" s="3"/>
    </row>
    <row r="12" spans="1:4">
      <c r="A12" s="3"/>
      <c r="B12" s="3"/>
      <c r="C12" s="3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"/>
  <sheetViews>
    <sheetView workbookViewId="0">
      <selection sqref="A1:K1"/>
    </sheetView>
  </sheetViews>
  <sheetFormatPr defaultRowHeight="14.25"/>
  <cols>
    <col min="1" max="1" width="38.625" customWidth="1"/>
    <col min="2" max="2" width="21.75" customWidth="1"/>
    <col min="3" max="3" width="12.5" customWidth="1"/>
    <col min="4" max="4" width="25.125" customWidth="1"/>
    <col min="5" max="5" width="11" customWidth="1"/>
    <col min="6" max="6" width="14.375" customWidth="1"/>
    <col min="7" max="7" width="10" customWidth="1"/>
    <col min="8" max="8" width="9.75" customWidth="1"/>
    <col min="9" max="9" width="38" customWidth="1"/>
    <col min="10" max="10" width="28" customWidth="1"/>
    <col min="11" max="11" width="23.375" customWidth="1"/>
  </cols>
  <sheetData>
    <row r="1" spans="1:11" ht="18">
      <c r="A1" s="16" t="s">
        <v>18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3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</row>
    <row r="4" spans="1:11" ht="28.5">
      <c r="A4" s="3" t="s">
        <v>30</v>
      </c>
      <c r="B4" s="3" t="s">
        <v>31</v>
      </c>
      <c r="C4" s="5">
        <v>0</v>
      </c>
      <c r="D4" s="3" t="s">
        <v>32</v>
      </c>
      <c r="E4" s="5">
        <v>0</v>
      </c>
      <c r="F4" s="3" t="s">
        <v>33</v>
      </c>
      <c r="G4" s="3" t="s">
        <v>34</v>
      </c>
      <c r="H4" s="3" t="s">
        <v>35</v>
      </c>
      <c r="I4" s="3" t="s">
        <v>36</v>
      </c>
      <c r="J4" s="9">
        <f>IF(H4="ibkr_tiered",MAX(Config!$B$4-10000,0)*(C4/100),Config!$B$4*(C4/100))</f>
        <v>0</v>
      </c>
      <c r="K4" s="10">
        <f>Config!$B$4*E4*0.0001</f>
        <v>0</v>
      </c>
    </row>
    <row r="5" spans="1:11" ht="28.5">
      <c r="A5" s="3" t="s">
        <v>37</v>
      </c>
      <c r="B5" s="3" t="s">
        <v>31</v>
      </c>
      <c r="C5" s="5">
        <v>0.01</v>
      </c>
      <c r="D5" s="3" t="s">
        <v>38</v>
      </c>
      <c r="E5" s="5">
        <v>0</v>
      </c>
      <c r="F5" s="3" t="s">
        <v>39</v>
      </c>
      <c r="G5" s="3" t="s">
        <v>34</v>
      </c>
      <c r="H5" s="3" t="s">
        <v>35</v>
      </c>
      <c r="I5" s="3" t="s">
        <v>40</v>
      </c>
      <c r="J5" s="9">
        <f>IF(H5="ibkr_tiered",MAX(Config!$B$4-10000,0)*(C5/100),Config!$B$4*(C5/100))</f>
        <v>10</v>
      </c>
      <c r="K5" s="10">
        <f>Config!$B$4*E5*0.0001</f>
        <v>0</v>
      </c>
    </row>
    <row r="6" spans="1:11" ht="28.5">
      <c r="A6" s="3" t="s">
        <v>41</v>
      </c>
      <c r="B6" s="3" t="s">
        <v>42</v>
      </c>
      <c r="C6" s="5">
        <v>3.38</v>
      </c>
      <c r="D6" s="3" t="s">
        <v>43</v>
      </c>
      <c r="E6" s="5">
        <v>0</v>
      </c>
      <c r="F6" s="3" t="s">
        <v>33</v>
      </c>
      <c r="G6" s="3" t="s">
        <v>34</v>
      </c>
      <c r="H6" s="3" t="s">
        <v>44</v>
      </c>
      <c r="I6" s="3" t="s">
        <v>45</v>
      </c>
      <c r="J6" s="9">
        <f>IF(H6="ibkr_tiered",MAX(Config!$B$4-10000,0)*(C6/100),Config!$B$4*(C6/100))</f>
        <v>3041.9999999999995</v>
      </c>
      <c r="K6" s="10">
        <f>Config!$B$4*E6*0.0001</f>
        <v>0</v>
      </c>
    </row>
    <row r="7" spans="1:11">
      <c r="A7" s="3" t="s">
        <v>46</v>
      </c>
      <c r="B7" s="3" t="s">
        <v>47</v>
      </c>
      <c r="C7" s="5">
        <v>3.47</v>
      </c>
      <c r="D7" s="3" t="s">
        <v>48</v>
      </c>
      <c r="E7" s="5">
        <v>0.1</v>
      </c>
      <c r="F7" s="3" t="s">
        <v>39</v>
      </c>
      <c r="G7" s="3" t="s">
        <v>34</v>
      </c>
      <c r="H7" s="3" t="s">
        <v>35</v>
      </c>
      <c r="I7" s="3" t="s">
        <v>49</v>
      </c>
      <c r="J7" s="9">
        <f>IF(H7="ibkr_tiered",MAX(Config!$B$4-10000,0)*(C7/100),Config!$B$4*(C7/100))</f>
        <v>3470</v>
      </c>
      <c r="K7" s="10">
        <f>Config!$B$4*E7*0.0001</f>
        <v>1</v>
      </c>
    </row>
    <row r="8" spans="1:11" ht="28.5">
      <c r="A8" s="3" t="s">
        <v>50</v>
      </c>
      <c r="B8" s="3" t="s">
        <v>51</v>
      </c>
      <c r="C8" s="5">
        <v>3.88</v>
      </c>
      <c r="D8" s="3" t="s">
        <v>52</v>
      </c>
      <c r="E8" s="5">
        <v>0</v>
      </c>
      <c r="F8" s="3" t="s">
        <v>53</v>
      </c>
      <c r="G8" s="3" t="s">
        <v>34</v>
      </c>
      <c r="H8" s="3" t="s">
        <v>35</v>
      </c>
      <c r="I8" s="3" t="s">
        <v>54</v>
      </c>
      <c r="J8" s="9">
        <f>IF(H8="ibkr_tiered",MAX(Config!$B$4-10000,0)*(C8/100),Config!$B$4*(C8/100))</f>
        <v>3880</v>
      </c>
      <c r="K8" s="10">
        <f>Config!$B$4*E8*0.0001</f>
        <v>0</v>
      </c>
    </row>
    <row r="9" spans="1:11">
      <c r="A9" s="3" t="s">
        <v>55</v>
      </c>
      <c r="B9" s="3" t="s">
        <v>56</v>
      </c>
      <c r="C9" s="5">
        <v>4.0599999999999996</v>
      </c>
      <c r="D9" s="3" t="s">
        <v>57</v>
      </c>
      <c r="E9" s="5">
        <v>0.08</v>
      </c>
      <c r="F9" s="3" t="s">
        <v>58</v>
      </c>
      <c r="G9" s="3" t="s">
        <v>34</v>
      </c>
      <c r="H9" s="3" t="s">
        <v>35</v>
      </c>
      <c r="I9" s="3" t="s">
        <v>59</v>
      </c>
      <c r="J9" s="9">
        <f>IF(H9="ibkr_tiered",MAX(Config!$B$4-10000,0)*(C9/100),Config!$B$4*(C9/100))</f>
        <v>4059.9999999999995</v>
      </c>
      <c r="K9" s="10">
        <f>Config!$B$4*E9*0.0001</f>
        <v>0.8</v>
      </c>
    </row>
    <row r="10" spans="1:11">
      <c r="A10" s="3" t="s">
        <v>60</v>
      </c>
      <c r="B10" s="3" t="s">
        <v>56</v>
      </c>
      <c r="C10" s="5">
        <v>4.17</v>
      </c>
      <c r="D10" s="3" t="s">
        <v>57</v>
      </c>
      <c r="E10" s="5">
        <v>0.24</v>
      </c>
      <c r="F10" s="3" t="s">
        <v>58</v>
      </c>
      <c r="G10" s="3" t="s">
        <v>34</v>
      </c>
      <c r="H10" s="3" t="s">
        <v>35</v>
      </c>
      <c r="I10" s="3" t="s">
        <v>59</v>
      </c>
      <c r="J10" s="9">
        <f>IF(H10="ibkr_tiered",MAX(Config!$B$4-10000,0)*(C10/100),Config!$B$4*(C10/100))</f>
        <v>4170</v>
      </c>
      <c r="K10" s="10">
        <f>Config!$B$4*E10*0.0001</f>
        <v>2.4</v>
      </c>
    </row>
    <row r="11" spans="1:11" ht="28.5">
      <c r="A11" s="3" t="s">
        <v>61</v>
      </c>
      <c r="B11" s="3" t="s">
        <v>56</v>
      </c>
      <c r="C11" s="5">
        <v>5.24</v>
      </c>
      <c r="D11" s="3" t="s">
        <v>62</v>
      </c>
      <c r="E11" s="5">
        <v>8</v>
      </c>
      <c r="F11" s="3" t="s">
        <v>58</v>
      </c>
      <c r="G11" s="3" t="s">
        <v>34</v>
      </c>
      <c r="H11" s="3" t="s">
        <v>35</v>
      </c>
      <c r="I11" s="3" t="s">
        <v>63</v>
      </c>
      <c r="J11" s="9">
        <f>IF(H11="ibkr_tiered",MAX(Config!$B$4-10000,0)*(C11/100),Config!$B$4*(C11/100))</f>
        <v>5240</v>
      </c>
      <c r="K11" s="10">
        <f>Config!$B$4*E11*0.0001</f>
        <v>80</v>
      </c>
    </row>
    <row r="12" spans="1:11" ht="28.5">
      <c r="A12" s="3" t="s">
        <v>64</v>
      </c>
      <c r="B12" s="3" t="s">
        <v>56</v>
      </c>
      <c r="C12" s="5">
        <v>5.61</v>
      </c>
      <c r="D12" s="3" t="s">
        <v>62</v>
      </c>
      <c r="E12" s="5">
        <v>14.5</v>
      </c>
      <c r="F12" s="3" t="s">
        <v>58</v>
      </c>
      <c r="G12" s="3" t="s">
        <v>34</v>
      </c>
      <c r="H12" s="3" t="s">
        <v>35</v>
      </c>
      <c r="I12" s="3" t="s">
        <v>63</v>
      </c>
      <c r="J12" s="9">
        <f>IF(H12="ibkr_tiered",MAX(Config!$B$4-10000,0)*(C12/100),Config!$B$4*(C12/100))</f>
        <v>5610</v>
      </c>
      <c r="K12" s="10">
        <f>Config!$B$4*E12*0.0001</f>
        <v>145</v>
      </c>
    </row>
    <row r="13" spans="1:11" ht="28.5">
      <c r="A13" s="3" t="s">
        <v>65</v>
      </c>
      <c r="B13" s="3" t="s">
        <v>66</v>
      </c>
      <c r="C13" s="5">
        <v>8.5</v>
      </c>
      <c r="D13" s="3" t="s">
        <v>67</v>
      </c>
      <c r="E13" s="5">
        <v>1</v>
      </c>
      <c r="F13" s="3" t="s">
        <v>68</v>
      </c>
      <c r="G13" s="3" t="s">
        <v>69</v>
      </c>
      <c r="H13" s="3" t="s">
        <v>35</v>
      </c>
      <c r="I13" s="3" t="s">
        <v>70</v>
      </c>
      <c r="J13" s="9">
        <f>IF(H13="ibkr_tiered",MAX(Config!$B$4-10000,0)*(C13/100),Config!$B$4*(C13/100))</f>
        <v>8500</v>
      </c>
      <c r="K13" s="10">
        <f>Config!$B$4*E13*0.0001</f>
        <v>10</v>
      </c>
    </row>
  </sheetData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3"/>
  <sheetViews>
    <sheetView workbookViewId="0">
      <selection sqref="A1:M1"/>
    </sheetView>
  </sheetViews>
  <sheetFormatPr defaultRowHeight="14.25"/>
  <cols>
    <col min="1" max="1" width="42" customWidth="1"/>
    <col min="2" max="2" width="25.125" customWidth="1"/>
    <col min="3" max="3" width="20.5" customWidth="1"/>
    <col min="4" max="4" width="23.125" customWidth="1"/>
    <col min="5" max="5" width="24.125" customWidth="1"/>
    <col min="6" max="6" width="28.25" customWidth="1"/>
    <col min="7" max="7" width="15.5" customWidth="1"/>
    <col min="8" max="8" width="16.375" customWidth="1"/>
    <col min="9" max="9" width="28" customWidth="1"/>
    <col min="10" max="10" width="29.125" customWidth="1"/>
    <col min="11" max="11" width="26.5" customWidth="1"/>
    <col min="12" max="12" width="10.125" customWidth="1"/>
    <col min="13" max="13" width="26" customWidth="1"/>
  </cols>
  <sheetData>
    <row r="1" spans="1:13" ht="18">
      <c r="A1" s="16" t="s">
        <v>71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30">
      <c r="A3" s="1" t="s">
        <v>72</v>
      </c>
      <c r="B3" s="1" t="s">
        <v>73</v>
      </c>
      <c r="C3" s="1" t="s">
        <v>74</v>
      </c>
      <c r="D3" s="1" t="s">
        <v>75</v>
      </c>
      <c r="E3" s="1" t="s">
        <v>76</v>
      </c>
      <c r="F3" s="1" t="s">
        <v>77</v>
      </c>
      <c r="G3" s="1" t="s">
        <v>78</v>
      </c>
      <c r="H3" s="1" t="s">
        <v>79</v>
      </c>
      <c r="I3" s="1" t="s">
        <v>80</v>
      </c>
      <c r="J3" s="1" t="s">
        <v>81</v>
      </c>
      <c r="K3" s="1" t="s">
        <v>82</v>
      </c>
      <c r="L3" s="1" t="s">
        <v>83</v>
      </c>
      <c r="M3" s="1" t="s">
        <v>84</v>
      </c>
    </row>
    <row r="4" spans="1:13">
      <c r="A4" s="3" t="s">
        <v>85</v>
      </c>
      <c r="B4" s="11">
        <v>4.125</v>
      </c>
      <c r="C4" s="6">
        <v>25</v>
      </c>
      <c r="D4" s="4">
        <v>1368588</v>
      </c>
      <c r="E4" s="4">
        <v>934247</v>
      </c>
      <c r="F4" s="4">
        <v>2302834</v>
      </c>
      <c r="G4" s="5">
        <v>4.6100000000000003</v>
      </c>
      <c r="H4" s="5">
        <v>9.89</v>
      </c>
      <c r="I4" s="10">
        <f t="shared" ref="I4:I13" si="0">D4*L4</f>
        <v>2737.1759999999999</v>
      </c>
      <c r="J4" s="10">
        <f t="shared" ref="J4:J13" si="1">E4*L4</f>
        <v>1868.4940000000001</v>
      </c>
      <c r="K4" s="10">
        <f t="shared" ref="K4:K13" si="2">F4*L4</f>
        <v>4605.6679999999997</v>
      </c>
      <c r="L4" s="12">
        <f>Config!$B$4/Config!$B$5</f>
        <v>2E-3</v>
      </c>
      <c r="M4" s="3" t="s">
        <v>86</v>
      </c>
    </row>
    <row r="5" spans="1:13">
      <c r="A5" s="3" t="s">
        <v>87</v>
      </c>
      <c r="B5" s="11">
        <v>4.125</v>
      </c>
      <c r="C5" s="6">
        <v>25</v>
      </c>
      <c r="D5" s="4">
        <v>1368588</v>
      </c>
      <c r="E5" s="4">
        <v>934247</v>
      </c>
      <c r="F5" s="4">
        <v>2302834</v>
      </c>
      <c r="G5" s="5">
        <v>4.6100000000000003</v>
      </c>
      <c r="H5" s="5">
        <v>9.89</v>
      </c>
      <c r="I5" s="10">
        <f t="shared" si="0"/>
        <v>2737.1759999999999</v>
      </c>
      <c r="J5" s="10">
        <f t="shared" si="1"/>
        <v>1868.4940000000001</v>
      </c>
      <c r="K5" s="10">
        <f t="shared" si="2"/>
        <v>4605.6679999999997</v>
      </c>
      <c r="L5" s="12">
        <f>Config!$B$4/Config!$B$5</f>
        <v>2E-3</v>
      </c>
      <c r="M5" s="3" t="s">
        <v>86</v>
      </c>
    </row>
    <row r="6" spans="1:13">
      <c r="A6" s="3" t="s">
        <v>88</v>
      </c>
      <c r="B6" s="11">
        <v>4.125</v>
      </c>
      <c r="C6" s="6">
        <v>25</v>
      </c>
      <c r="D6" s="4">
        <v>1368588</v>
      </c>
      <c r="E6" s="4">
        <v>948630</v>
      </c>
      <c r="F6" s="4">
        <v>2317218</v>
      </c>
      <c r="G6" s="5">
        <v>4.63</v>
      </c>
      <c r="H6" s="5">
        <v>9.9499999999999993</v>
      </c>
      <c r="I6" s="10">
        <f t="shared" si="0"/>
        <v>2737.1759999999999</v>
      </c>
      <c r="J6" s="10">
        <f t="shared" si="1"/>
        <v>1897.26</v>
      </c>
      <c r="K6" s="10">
        <f t="shared" si="2"/>
        <v>4634.4359999999997</v>
      </c>
      <c r="L6" s="12">
        <f>Config!$B$4/Config!$B$5</f>
        <v>2E-3</v>
      </c>
      <c r="M6" s="3" t="s">
        <v>86</v>
      </c>
    </row>
    <row r="7" spans="1:13">
      <c r="A7" s="3" t="s">
        <v>89</v>
      </c>
      <c r="B7" s="11">
        <v>4.375</v>
      </c>
      <c r="C7" s="6">
        <v>50</v>
      </c>
      <c r="D7" s="4">
        <v>1368588</v>
      </c>
      <c r="E7" s="4">
        <v>980479</v>
      </c>
      <c r="F7" s="4">
        <v>2349067</v>
      </c>
      <c r="G7" s="5">
        <v>4.7</v>
      </c>
      <c r="H7" s="5">
        <v>10.09</v>
      </c>
      <c r="I7" s="10">
        <f t="shared" si="0"/>
        <v>2737.1759999999999</v>
      </c>
      <c r="J7" s="10">
        <f t="shared" si="1"/>
        <v>1960.9580000000001</v>
      </c>
      <c r="K7" s="10">
        <f t="shared" si="2"/>
        <v>4698.134</v>
      </c>
      <c r="L7" s="12">
        <f>Config!$B$4/Config!$B$5</f>
        <v>2E-3</v>
      </c>
      <c r="M7" s="3" t="s">
        <v>86</v>
      </c>
    </row>
    <row r="8" spans="1:13">
      <c r="A8" s="3" t="s">
        <v>90</v>
      </c>
      <c r="B8" s="11">
        <v>4.125</v>
      </c>
      <c r="C8" s="6">
        <v>25</v>
      </c>
      <c r="D8" s="4">
        <v>1368588</v>
      </c>
      <c r="E8" s="4">
        <v>934247</v>
      </c>
      <c r="F8" s="4">
        <v>2302834</v>
      </c>
      <c r="G8" s="5">
        <v>4.6100000000000003</v>
      </c>
      <c r="H8" s="5">
        <v>9.89</v>
      </c>
      <c r="I8" s="10">
        <f t="shared" si="0"/>
        <v>2737.1759999999999</v>
      </c>
      <c r="J8" s="10">
        <f t="shared" si="1"/>
        <v>1868.4940000000001</v>
      </c>
      <c r="K8" s="10">
        <f t="shared" si="2"/>
        <v>4605.6679999999997</v>
      </c>
      <c r="L8" s="12">
        <f>Config!$B$4/Config!$B$5</f>
        <v>2E-3</v>
      </c>
      <c r="M8" s="3" t="s">
        <v>86</v>
      </c>
    </row>
    <row r="9" spans="1:13">
      <c r="A9" s="3" t="s">
        <v>91</v>
      </c>
      <c r="B9" s="11">
        <v>3.875</v>
      </c>
      <c r="C9" s="6">
        <v>0</v>
      </c>
      <c r="D9" s="4">
        <v>1368588</v>
      </c>
      <c r="E9" s="4">
        <v>902397</v>
      </c>
      <c r="F9" s="4">
        <v>2270985</v>
      </c>
      <c r="G9" s="5">
        <v>4.54</v>
      </c>
      <c r="H9" s="5">
        <v>9.75</v>
      </c>
      <c r="I9" s="10">
        <f t="shared" si="0"/>
        <v>2737.1759999999999</v>
      </c>
      <c r="J9" s="10">
        <f t="shared" si="1"/>
        <v>1804.7940000000001</v>
      </c>
      <c r="K9" s="10">
        <f t="shared" si="2"/>
        <v>4541.97</v>
      </c>
      <c r="L9" s="12">
        <f>Config!$B$4/Config!$B$5</f>
        <v>2E-3</v>
      </c>
      <c r="M9" s="3" t="s">
        <v>86</v>
      </c>
    </row>
    <row r="10" spans="1:13">
      <c r="A10" s="3" t="s">
        <v>92</v>
      </c>
      <c r="B10" s="11">
        <v>3.875</v>
      </c>
      <c r="C10" s="6">
        <v>0</v>
      </c>
      <c r="D10" s="4">
        <v>1368588</v>
      </c>
      <c r="E10" s="4">
        <v>902397</v>
      </c>
      <c r="F10" s="4">
        <v>2270985</v>
      </c>
      <c r="G10" s="5">
        <v>4.54</v>
      </c>
      <c r="H10" s="5">
        <v>9.75</v>
      </c>
      <c r="I10" s="10">
        <f t="shared" si="0"/>
        <v>2737.1759999999999</v>
      </c>
      <c r="J10" s="10">
        <f t="shared" si="1"/>
        <v>1804.7940000000001</v>
      </c>
      <c r="K10" s="10">
        <f t="shared" si="2"/>
        <v>4541.97</v>
      </c>
      <c r="L10" s="12">
        <f>Config!$B$4/Config!$B$5</f>
        <v>2E-3</v>
      </c>
      <c r="M10" s="3" t="s">
        <v>86</v>
      </c>
    </row>
    <row r="11" spans="1:13" ht="28.5">
      <c r="A11" s="3" t="s">
        <v>93</v>
      </c>
      <c r="B11" s="11">
        <v>4.625</v>
      </c>
      <c r="C11" s="6">
        <v>75</v>
      </c>
      <c r="D11" s="4">
        <v>246088</v>
      </c>
      <c r="E11" s="4">
        <v>995548</v>
      </c>
      <c r="F11" s="4">
        <v>1241636</v>
      </c>
      <c r="G11" s="5">
        <v>2.48</v>
      </c>
      <c r="H11" s="5">
        <v>5.33</v>
      </c>
      <c r="I11" s="10">
        <f t="shared" si="0"/>
        <v>492.17599999999999</v>
      </c>
      <c r="J11" s="10">
        <f t="shared" si="1"/>
        <v>1991.096</v>
      </c>
      <c r="K11" s="10">
        <f t="shared" si="2"/>
        <v>2483.2719999999999</v>
      </c>
      <c r="L11" s="12">
        <f>Config!$B$4/Config!$B$5</f>
        <v>2E-3</v>
      </c>
      <c r="M11" s="3" t="s">
        <v>86</v>
      </c>
    </row>
    <row r="12" spans="1:13">
      <c r="A12" s="3" t="s">
        <v>94</v>
      </c>
      <c r="B12" s="11">
        <v>4.125</v>
      </c>
      <c r="C12" s="6">
        <v>25</v>
      </c>
      <c r="D12" s="4">
        <v>1368588</v>
      </c>
      <c r="E12" s="4">
        <v>931849</v>
      </c>
      <c r="F12" s="4">
        <v>2300437</v>
      </c>
      <c r="G12" s="5">
        <v>4.5999999999999996</v>
      </c>
      <c r="H12" s="5">
        <v>9.8800000000000008</v>
      </c>
      <c r="I12" s="10">
        <f t="shared" si="0"/>
        <v>2737.1759999999999</v>
      </c>
      <c r="J12" s="10">
        <f t="shared" si="1"/>
        <v>1863.6980000000001</v>
      </c>
      <c r="K12" s="10">
        <f t="shared" si="2"/>
        <v>4600.8739999999998</v>
      </c>
      <c r="L12" s="12">
        <f>Config!$B$4/Config!$B$5</f>
        <v>2E-3</v>
      </c>
      <c r="M12" s="3" t="s">
        <v>86</v>
      </c>
    </row>
    <row r="13" spans="1:13">
      <c r="A13" s="3" t="s">
        <v>95</v>
      </c>
      <c r="B13" s="11">
        <v>3.875</v>
      </c>
      <c r="C13" s="6">
        <v>0</v>
      </c>
      <c r="D13" s="4">
        <v>1368588</v>
      </c>
      <c r="E13" s="4">
        <v>902397</v>
      </c>
      <c r="F13" s="4">
        <v>2270985</v>
      </c>
      <c r="G13" s="5">
        <v>4.54</v>
      </c>
      <c r="H13" s="5">
        <v>9.75</v>
      </c>
      <c r="I13" s="10">
        <f t="shared" si="0"/>
        <v>2737.1759999999999</v>
      </c>
      <c r="J13" s="10">
        <f t="shared" si="1"/>
        <v>1804.7940000000001</v>
      </c>
      <c r="K13" s="10">
        <f t="shared" si="2"/>
        <v>4541.97</v>
      </c>
      <c r="L13" s="12">
        <f>Config!$B$4/Config!$B$5</f>
        <v>2E-3</v>
      </c>
      <c r="M13" s="3" t="s">
        <v>86</v>
      </c>
    </row>
  </sheetData>
  <mergeCells count="1">
    <mergeCell ref="A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"/>
  <sheetViews>
    <sheetView workbookViewId="0">
      <selection activeCell="C4" sqref="C4"/>
    </sheetView>
  </sheetViews>
  <sheetFormatPr defaultRowHeight="14.25"/>
  <cols>
    <col min="1" max="1" width="35.625" customWidth="1"/>
    <col min="2" max="2" width="11.125" customWidth="1"/>
    <col min="3" max="3" width="17.625" customWidth="1"/>
    <col min="4" max="4" width="38" customWidth="1"/>
    <col min="5" max="5" width="26.75" customWidth="1"/>
    <col min="6" max="6" width="13.625" customWidth="1"/>
    <col min="7" max="7" width="25.75" customWidth="1"/>
  </cols>
  <sheetData>
    <row r="1" spans="1:7" ht="18">
      <c r="A1" s="17" t="s">
        <v>96</v>
      </c>
      <c r="B1" s="17"/>
      <c r="C1" s="17"/>
      <c r="D1" s="17"/>
      <c r="E1" s="17"/>
      <c r="F1" s="17"/>
      <c r="G1" s="17"/>
    </row>
    <row r="3" spans="1:7" ht="30">
      <c r="A3" s="1" t="s">
        <v>97</v>
      </c>
      <c r="B3" s="1" t="s">
        <v>98</v>
      </c>
      <c r="C3" s="1" t="s">
        <v>133</v>
      </c>
      <c r="D3" s="1" t="s">
        <v>99</v>
      </c>
      <c r="E3" s="1" t="s">
        <v>100</v>
      </c>
      <c r="F3" s="1" t="s">
        <v>101</v>
      </c>
      <c r="G3" s="1" t="s">
        <v>102</v>
      </c>
    </row>
    <row r="4" spans="1:7">
      <c r="A4" s="2">
        <v>0.5</v>
      </c>
      <c r="B4" s="8">
        <f>Config!$B$4*A4/100</f>
        <v>500</v>
      </c>
      <c r="C4" s="13">
        <f>A4/Config!$B$6</f>
        <v>0.125</v>
      </c>
      <c r="D4" s="7" t="s">
        <v>85</v>
      </c>
      <c r="E4" s="8">
        <f>Overlay_Scenarios!I4</f>
        <v>2737.1759999999999</v>
      </c>
      <c r="F4" s="8">
        <f t="shared" ref="F4:F22" si="0">E4*C4</f>
        <v>342.14699999999999</v>
      </c>
      <c r="G4" s="8">
        <f>Overlay_Scenarios!J4+F4</f>
        <v>2210.6410000000001</v>
      </c>
    </row>
    <row r="5" spans="1:7">
      <c r="A5" s="2">
        <v>0.75</v>
      </c>
      <c r="B5" s="8">
        <f>Config!$B$4*A5/100</f>
        <v>750</v>
      </c>
      <c r="C5" s="13">
        <f>A5/Config!$B$6</f>
        <v>0.1875</v>
      </c>
      <c r="D5" s="7" t="s">
        <v>85</v>
      </c>
      <c r="E5" s="8">
        <f>Overlay_Scenarios!I5</f>
        <v>2737.1759999999999</v>
      </c>
      <c r="F5" s="8">
        <f t="shared" si="0"/>
        <v>513.22050000000002</v>
      </c>
      <c r="G5" s="8">
        <f>Overlay_Scenarios!J5+F5</f>
        <v>2381.7145</v>
      </c>
    </row>
    <row r="6" spans="1:7">
      <c r="A6" s="2">
        <v>1</v>
      </c>
      <c r="B6" s="8">
        <f>Config!$B$4*A6/100</f>
        <v>1000</v>
      </c>
      <c r="C6" s="13">
        <f>A6/Config!$B$6</f>
        <v>0.25</v>
      </c>
      <c r="D6" s="7" t="s">
        <v>85</v>
      </c>
      <c r="E6" s="8">
        <f>Overlay_Scenarios!I6</f>
        <v>2737.1759999999999</v>
      </c>
      <c r="F6" s="8">
        <f t="shared" si="0"/>
        <v>684.29399999999998</v>
      </c>
      <c r="G6" s="8">
        <f>Overlay_Scenarios!J6+F6</f>
        <v>2581.5540000000001</v>
      </c>
    </row>
    <row r="7" spans="1:7">
      <c r="A7" s="2">
        <v>1.25</v>
      </c>
      <c r="B7" s="8">
        <f>Config!$B$4*A7/100</f>
        <v>1250</v>
      </c>
      <c r="C7" s="13">
        <f>A7/Config!$B$6</f>
        <v>0.3125</v>
      </c>
      <c r="D7" s="7" t="s">
        <v>85</v>
      </c>
      <c r="E7" s="8">
        <f>Overlay_Scenarios!I7</f>
        <v>2737.1759999999999</v>
      </c>
      <c r="F7" s="8">
        <f t="shared" si="0"/>
        <v>855.36749999999995</v>
      </c>
      <c r="G7" s="8">
        <f>Overlay_Scenarios!J7+F7</f>
        <v>2816.3254999999999</v>
      </c>
    </row>
    <row r="8" spans="1:7">
      <c r="A8" s="2">
        <v>1.5</v>
      </c>
      <c r="B8" s="8">
        <f>Config!$B$4*A8/100</f>
        <v>1500</v>
      </c>
      <c r="C8" s="13">
        <f>A8/Config!$B$6</f>
        <v>0.375</v>
      </c>
      <c r="D8" s="7" t="s">
        <v>85</v>
      </c>
      <c r="E8" s="8">
        <f>Overlay_Scenarios!I8</f>
        <v>2737.1759999999999</v>
      </c>
      <c r="F8" s="8">
        <f t="shared" si="0"/>
        <v>1026.441</v>
      </c>
      <c r="G8" s="8">
        <f>Overlay_Scenarios!J8+F8</f>
        <v>2894.9350000000004</v>
      </c>
    </row>
    <row r="9" spans="1:7">
      <c r="A9" s="2">
        <v>1.75</v>
      </c>
      <c r="B9" s="8">
        <f>Config!$B$4*A9/100</f>
        <v>1750</v>
      </c>
      <c r="C9" s="13">
        <f>A9/Config!$B$6</f>
        <v>0.4375</v>
      </c>
      <c r="D9" s="7" t="s">
        <v>85</v>
      </c>
      <c r="E9" s="8">
        <f>Overlay_Scenarios!I9</f>
        <v>2737.1759999999999</v>
      </c>
      <c r="F9" s="8">
        <f t="shared" si="0"/>
        <v>1197.5145</v>
      </c>
      <c r="G9" s="8">
        <f>Overlay_Scenarios!J9+F9</f>
        <v>3002.3085000000001</v>
      </c>
    </row>
    <row r="10" spans="1:7">
      <c r="A10" s="2">
        <v>2</v>
      </c>
      <c r="B10" s="8">
        <f>Config!$B$4*A10/100</f>
        <v>2000</v>
      </c>
      <c r="C10" s="13">
        <f>A10/Config!$B$6</f>
        <v>0.5</v>
      </c>
      <c r="D10" s="7" t="s">
        <v>85</v>
      </c>
      <c r="E10" s="8">
        <f>Overlay_Scenarios!I10</f>
        <v>2737.1759999999999</v>
      </c>
      <c r="F10" s="8">
        <f t="shared" si="0"/>
        <v>1368.588</v>
      </c>
      <c r="G10" s="8">
        <f>Overlay_Scenarios!J10+F10</f>
        <v>3173.3820000000001</v>
      </c>
    </row>
    <row r="11" spans="1:7">
      <c r="A11" s="2">
        <v>2.25</v>
      </c>
      <c r="B11" s="8">
        <f>Config!$B$4*A11/100</f>
        <v>2250</v>
      </c>
      <c r="C11" s="13">
        <f>A11/Config!$B$6</f>
        <v>0.5625</v>
      </c>
      <c r="D11" s="7" t="s">
        <v>85</v>
      </c>
      <c r="E11" s="8">
        <f>Overlay_Scenarios!I11</f>
        <v>492.17599999999999</v>
      </c>
      <c r="F11" s="8">
        <f t="shared" si="0"/>
        <v>276.84899999999999</v>
      </c>
      <c r="G11" s="8">
        <f>Overlay_Scenarios!J11+F11</f>
        <v>2267.9450000000002</v>
      </c>
    </row>
    <row r="12" spans="1:7">
      <c r="A12" s="2">
        <v>2.5</v>
      </c>
      <c r="B12" s="8">
        <f>Config!$B$4*A12/100</f>
        <v>2500</v>
      </c>
      <c r="C12" s="13">
        <f>A12/Config!$B$6</f>
        <v>0.625</v>
      </c>
      <c r="D12" s="7" t="s">
        <v>85</v>
      </c>
      <c r="E12" s="8">
        <f>Overlay_Scenarios!I12</f>
        <v>2737.1759999999999</v>
      </c>
      <c r="F12" s="8">
        <f t="shared" si="0"/>
        <v>1710.7349999999999</v>
      </c>
      <c r="G12" s="8">
        <f>Overlay_Scenarios!J12+F12</f>
        <v>3574.433</v>
      </c>
    </row>
    <row r="13" spans="1:7">
      <c r="A13" s="2">
        <v>2.75</v>
      </c>
      <c r="B13" s="8">
        <f>Config!$B$4*A13/100</f>
        <v>2750</v>
      </c>
      <c r="C13" s="13">
        <f>A13/Config!$B$6</f>
        <v>0.6875</v>
      </c>
      <c r="D13" s="7" t="s">
        <v>85</v>
      </c>
      <c r="E13" s="8">
        <f>Overlay_Scenarios!I13</f>
        <v>2737.1759999999999</v>
      </c>
      <c r="F13" s="8">
        <f t="shared" si="0"/>
        <v>1881.8084999999999</v>
      </c>
      <c r="G13" s="8">
        <f>Overlay_Scenarios!J13+F13</f>
        <v>3686.6025</v>
      </c>
    </row>
    <row r="14" spans="1:7">
      <c r="A14" s="2">
        <v>3</v>
      </c>
      <c r="B14" s="8">
        <f>Config!$B$4*A14/100</f>
        <v>3000</v>
      </c>
      <c r="C14" s="13">
        <f>A14/Config!$B$6</f>
        <v>0.75</v>
      </c>
      <c r="D14" s="7" t="s">
        <v>85</v>
      </c>
      <c r="E14" s="8">
        <f>Overlay_Scenarios!I14</f>
        <v>0</v>
      </c>
      <c r="F14" s="8">
        <f t="shared" si="0"/>
        <v>0</v>
      </c>
      <c r="G14" s="8">
        <f>Overlay_Scenarios!J14+F14</f>
        <v>0</v>
      </c>
    </row>
    <row r="15" spans="1:7">
      <c r="A15" s="2">
        <v>3.25</v>
      </c>
      <c r="B15" s="8">
        <f>Config!$B$4*A15/100</f>
        <v>3250</v>
      </c>
      <c r="C15" s="13">
        <f>A15/Config!$B$6</f>
        <v>0.8125</v>
      </c>
      <c r="D15" s="7" t="s">
        <v>85</v>
      </c>
      <c r="E15" s="8">
        <f>Overlay_Scenarios!I15</f>
        <v>0</v>
      </c>
      <c r="F15" s="8">
        <f t="shared" si="0"/>
        <v>0</v>
      </c>
      <c r="G15" s="8">
        <f>Overlay_Scenarios!J15+F15</f>
        <v>0</v>
      </c>
    </row>
    <row r="16" spans="1:7">
      <c r="A16" s="2">
        <v>3.5</v>
      </c>
      <c r="B16" s="8">
        <f>Config!$B$4*A16/100</f>
        <v>3500</v>
      </c>
      <c r="C16" s="13">
        <f>A16/Config!$B$6</f>
        <v>0.875</v>
      </c>
      <c r="D16" s="7" t="s">
        <v>85</v>
      </c>
      <c r="E16" s="8">
        <f>Overlay_Scenarios!I16</f>
        <v>0</v>
      </c>
      <c r="F16" s="8">
        <f t="shared" si="0"/>
        <v>0</v>
      </c>
      <c r="G16" s="8">
        <f>Overlay_Scenarios!J16+F16</f>
        <v>0</v>
      </c>
    </row>
    <row r="17" spans="1:7">
      <c r="A17" s="2">
        <v>3.75</v>
      </c>
      <c r="B17" s="8">
        <f>Config!$B$4*A17/100</f>
        <v>3750</v>
      </c>
      <c r="C17" s="13">
        <f>A17/Config!$B$6</f>
        <v>0.9375</v>
      </c>
      <c r="D17" s="7" t="s">
        <v>85</v>
      </c>
      <c r="E17" s="8">
        <f>Overlay_Scenarios!I17</f>
        <v>0</v>
      </c>
      <c r="F17" s="8">
        <f t="shared" si="0"/>
        <v>0</v>
      </c>
      <c r="G17" s="8">
        <f>Overlay_Scenarios!J17+F17</f>
        <v>0</v>
      </c>
    </row>
    <row r="18" spans="1:7">
      <c r="A18" s="2">
        <v>4</v>
      </c>
      <c r="B18" s="8">
        <f>Config!$B$4*A18/100</f>
        <v>4000</v>
      </c>
      <c r="C18" s="13">
        <f>A18/Config!$B$6</f>
        <v>1</v>
      </c>
      <c r="D18" s="7" t="s">
        <v>85</v>
      </c>
      <c r="E18" s="8">
        <f>Overlay_Scenarios!I18</f>
        <v>0</v>
      </c>
      <c r="F18" s="8">
        <f t="shared" si="0"/>
        <v>0</v>
      </c>
      <c r="G18" s="8">
        <f>Overlay_Scenarios!J18+F18</f>
        <v>0</v>
      </c>
    </row>
    <row r="19" spans="1:7">
      <c r="A19" s="2">
        <v>4.25</v>
      </c>
      <c r="B19" s="8">
        <f>Config!$B$4*A19/100</f>
        <v>4250</v>
      </c>
      <c r="C19" s="13">
        <f>A19/Config!$B$6</f>
        <v>1.0625</v>
      </c>
      <c r="D19" s="7" t="s">
        <v>85</v>
      </c>
      <c r="E19" s="8">
        <f>Overlay_Scenarios!I19</f>
        <v>0</v>
      </c>
      <c r="F19" s="8">
        <f t="shared" si="0"/>
        <v>0</v>
      </c>
      <c r="G19" s="8">
        <f>Overlay_Scenarios!J19+F19</f>
        <v>0</v>
      </c>
    </row>
    <row r="20" spans="1:7">
      <c r="A20" s="2">
        <v>4.5</v>
      </c>
      <c r="B20" s="8">
        <f>Config!$B$4*A20/100</f>
        <v>4500</v>
      </c>
      <c r="C20" s="13">
        <f>A20/Config!$B$6</f>
        <v>1.125</v>
      </c>
      <c r="D20" s="7" t="s">
        <v>85</v>
      </c>
      <c r="E20" s="8">
        <f>Overlay_Scenarios!I20</f>
        <v>0</v>
      </c>
      <c r="F20" s="8">
        <f t="shared" si="0"/>
        <v>0</v>
      </c>
      <c r="G20" s="8">
        <f>Overlay_Scenarios!J20+F20</f>
        <v>0</v>
      </c>
    </row>
    <row r="21" spans="1:7">
      <c r="A21" s="2">
        <v>4.75</v>
      </c>
      <c r="B21" s="8">
        <f>Config!$B$4*A21/100</f>
        <v>4750</v>
      </c>
      <c r="C21" s="13">
        <f>A21/Config!$B$6</f>
        <v>1.1875</v>
      </c>
      <c r="D21" s="7" t="s">
        <v>85</v>
      </c>
      <c r="E21" s="8">
        <f>Overlay_Scenarios!I21</f>
        <v>0</v>
      </c>
      <c r="F21" s="8">
        <f t="shared" si="0"/>
        <v>0</v>
      </c>
      <c r="G21" s="8">
        <f>Overlay_Scenarios!J21+F21</f>
        <v>0</v>
      </c>
    </row>
    <row r="22" spans="1:7">
      <c r="A22" s="2">
        <v>5</v>
      </c>
      <c r="B22" s="8">
        <f>Config!$B$4*A22/100</f>
        <v>5000</v>
      </c>
      <c r="C22" s="13">
        <f>A22/Config!$B$6</f>
        <v>1.25</v>
      </c>
      <c r="D22" s="7" t="s">
        <v>85</v>
      </c>
      <c r="E22" s="8">
        <f>Overlay_Scenarios!I22</f>
        <v>0</v>
      </c>
      <c r="F22" s="8">
        <f t="shared" si="0"/>
        <v>0</v>
      </c>
      <c r="G22" s="8">
        <f>Overlay_Scenarios!J22+F22</f>
        <v>0</v>
      </c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"/>
  <sheetViews>
    <sheetView workbookViewId="0">
      <selection sqref="A1:F1"/>
    </sheetView>
  </sheetViews>
  <sheetFormatPr defaultRowHeight="14.25"/>
  <cols>
    <col min="1" max="1" width="63.625" customWidth="1"/>
    <col min="2" max="2" width="14" customWidth="1"/>
    <col min="3" max="3" width="72" customWidth="1"/>
  </cols>
  <sheetData>
    <row r="1" spans="1:6" ht="18">
      <c r="A1" s="17" t="s">
        <v>103</v>
      </c>
      <c r="B1" s="17"/>
      <c r="C1" s="17"/>
      <c r="D1" s="17"/>
      <c r="E1" s="17"/>
      <c r="F1" s="17"/>
    </row>
    <row r="3" spans="1:6" ht="15">
      <c r="A3" s="14" t="s">
        <v>104</v>
      </c>
      <c r="B3" s="15" t="s">
        <v>105</v>
      </c>
      <c r="C3" s="3" t="s">
        <v>106</v>
      </c>
    </row>
    <row r="4" spans="1:6" ht="30">
      <c r="A4" s="14" t="s">
        <v>107</v>
      </c>
      <c r="B4" s="15" t="s">
        <v>108</v>
      </c>
      <c r="C4" s="3" t="s">
        <v>109</v>
      </c>
    </row>
    <row r="5" spans="1:6" ht="30">
      <c r="A5" s="14" t="s">
        <v>110</v>
      </c>
      <c r="B5" s="15" t="s">
        <v>111</v>
      </c>
      <c r="C5" s="3" t="s">
        <v>112</v>
      </c>
    </row>
    <row r="6" spans="1:6" ht="15">
      <c r="A6" s="14" t="s">
        <v>113</v>
      </c>
      <c r="B6" s="15" t="s">
        <v>114</v>
      </c>
      <c r="C6" s="3" t="s">
        <v>115</v>
      </c>
    </row>
    <row r="7" spans="1:6" ht="29.25">
      <c r="A7" s="14" t="s">
        <v>116</v>
      </c>
      <c r="B7" s="15" t="s">
        <v>117</v>
      </c>
      <c r="C7" s="3" t="s">
        <v>118</v>
      </c>
    </row>
    <row r="8" spans="1:6" ht="30">
      <c r="A8" s="14" t="s">
        <v>119</v>
      </c>
      <c r="B8" s="15" t="s">
        <v>120</v>
      </c>
      <c r="C8" s="3" t="s">
        <v>121</v>
      </c>
    </row>
    <row r="9" spans="1:6" ht="29.25">
      <c r="A9" s="14" t="s">
        <v>122</v>
      </c>
      <c r="B9" s="15" t="s">
        <v>123</v>
      </c>
      <c r="C9" s="3" t="s">
        <v>124</v>
      </c>
    </row>
    <row r="10" spans="1:6" ht="29.25">
      <c r="A10" s="14" t="s">
        <v>125</v>
      </c>
      <c r="B10" s="15" t="s">
        <v>126</v>
      </c>
      <c r="C10" s="3" t="s">
        <v>127</v>
      </c>
    </row>
    <row r="11" spans="1:6" ht="15">
      <c r="A11" s="14" t="s">
        <v>128</v>
      </c>
      <c r="B11" s="15" t="s">
        <v>126</v>
      </c>
      <c r="C11" s="3" t="s">
        <v>129</v>
      </c>
    </row>
    <row r="12" spans="1:6" ht="29.25">
      <c r="A12" s="14" t="s">
        <v>130</v>
      </c>
      <c r="B12" s="15" t="s">
        <v>131</v>
      </c>
      <c r="C12" s="3" t="s">
        <v>132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</vt:lpstr>
      <vt:lpstr>Cash_To_Capital</vt:lpstr>
      <vt:lpstr>Overlay_Scenarios</vt:lpstr>
      <vt:lpstr>Overlay_Risk_Sizing</vt:lpstr>
      <vt:lpstr>README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Gaurav Singhal</cp:lastModifiedBy>
  <dcterms:modified xsi:type="dcterms:W3CDTF">2026-10-02T14:17:23Z</dcterms:modified>
</cp:coreProperties>
</file>